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vost\Alicia\IR Webpage\"/>
    </mc:Choice>
  </mc:AlternateContent>
  <xr:revisionPtr revIDLastSave="0" documentId="8_{93E7E991-CBA4-4D49-8A07-E5D375A21F07}" xr6:coauthVersionLast="47" xr6:coauthVersionMax="47" xr10:uidLastSave="{00000000-0000-0000-0000-000000000000}"/>
  <bookViews>
    <workbookView xWindow="4005" yWindow="1575" windowWidth="21600" windowHeight="11235" xr2:uid="{00000000-000D-0000-FFFF-FFFF00000000}"/>
  </bookViews>
  <sheets>
    <sheet name="template" sheetId="1" r:id="rId1"/>
  </sheets>
  <externalReferences>
    <externalReference r:id="rId2"/>
  </externalReferences>
  <definedNames>
    <definedName name="Fall97CrHr" localSheetId="0">#REF!</definedName>
    <definedName name="Fall97CrHr">#REF!</definedName>
    <definedName name="Fall98crhr" localSheetId="0">#REF!</definedName>
    <definedName name="Fall98crhr">#REF!</definedName>
    <definedName name="FY98CrHr">#REF!</definedName>
    <definedName name="Sp98CrHr">#REF!</definedName>
    <definedName name="Sum97CrHr">#REF!</definedName>
    <definedName name="Sum98CrH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1" l="1"/>
  <c r="W15" i="1"/>
  <c r="W16" i="1"/>
  <c r="W17" i="1"/>
  <c r="W14" i="1"/>
  <c r="W18" i="1"/>
  <c r="S18" i="1"/>
  <c r="Y21" i="1"/>
  <c r="Z21" i="1" s="1"/>
  <c r="Y18" i="1"/>
  <c r="Z18" i="1" s="1"/>
  <c r="U21" i="1"/>
  <c r="U18" i="1"/>
  <c r="V22" i="1"/>
  <c r="Z22" i="1" s="1"/>
  <c r="T19" i="1"/>
  <c r="T15" i="1"/>
  <c r="T16" i="1"/>
  <c r="T17" i="1"/>
  <c r="T20" i="1"/>
  <c r="T22" i="1"/>
  <c r="T14" i="1"/>
  <c r="M61" i="1"/>
  <c r="M60" i="1"/>
  <c r="M59" i="1"/>
  <c r="M58" i="1"/>
  <c r="N58" i="1" s="1"/>
  <c r="M49" i="1"/>
  <c r="N49" i="1" s="1"/>
  <c r="N48" i="1"/>
  <c r="M48" i="1"/>
  <c r="M47" i="1"/>
  <c r="N47" i="1" s="1"/>
  <c r="I45" i="1"/>
  <c r="J45" i="1" s="1"/>
  <c r="K45" i="1" s="1"/>
  <c r="L45" i="1" s="1"/>
  <c r="I44" i="1"/>
  <c r="J44" i="1" s="1"/>
  <c r="K44" i="1" s="1"/>
  <c r="L44" i="1" s="1"/>
  <c r="N43" i="1"/>
  <c r="M43" i="1"/>
  <c r="I42" i="1"/>
  <c r="H41" i="1"/>
  <c r="G41" i="1"/>
  <c r="F41" i="1"/>
  <c r="E41" i="1"/>
  <c r="D41" i="1"/>
  <c r="C41" i="1"/>
  <c r="B41" i="1"/>
  <c r="M36" i="1"/>
  <c r="N36" i="1" s="1"/>
  <c r="M35" i="1"/>
  <c r="N35" i="1" s="1"/>
  <c r="M34" i="1"/>
  <c r="N34" i="1" s="1"/>
  <c r="M33" i="1"/>
  <c r="N33" i="1" s="1"/>
  <c r="M32" i="1"/>
  <c r="N32" i="1" s="1"/>
  <c r="G31" i="1"/>
  <c r="F31" i="1"/>
  <c r="E31" i="1"/>
  <c r="D31" i="1"/>
  <c r="C31" i="1"/>
  <c r="B31" i="1"/>
  <c r="N29" i="1"/>
  <c r="M29" i="1"/>
  <c r="N24" i="1"/>
  <c r="M24" i="1"/>
  <c r="B22" i="1"/>
  <c r="B20" i="1"/>
  <c r="D18" i="1"/>
  <c r="C18" i="1"/>
  <c r="B18" i="1"/>
  <c r="N15" i="1"/>
  <c r="M15" i="1"/>
  <c r="E15" i="1"/>
  <c r="E11" i="1" s="1"/>
  <c r="E9" i="1" s="1"/>
  <c r="D15" i="1"/>
  <c r="D11" i="1" s="1"/>
  <c r="C15" i="1"/>
  <c r="C11" i="1" s="1"/>
  <c r="N13" i="1"/>
  <c r="M13" i="1"/>
  <c r="L11" i="1"/>
  <c r="N11" i="1" s="1"/>
  <c r="K11" i="1"/>
  <c r="K9" i="1" s="1"/>
  <c r="J11" i="1"/>
  <c r="J9" i="1" s="1"/>
  <c r="I11" i="1"/>
  <c r="I9" i="1" s="1"/>
  <c r="H11" i="1"/>
  <c r="H9" i="1" s="1"/>
  <c r="G11" i="1"/>
  <c r="G9" i="1" s="1"/>
  <c r="F11" i="1"/>
  <c r="F9" i="1"/>
  <c r="L8" i="1"/>
  <c r="K8" i="1"/>
  <c r="J8" i="1"/>
  <c r="I8" i="1"/>
  <c r="H8" i="1"/>
  <c r="G8" i="1"/>
  <c r="F8" i="1"/>
  <c r="E8" i="1"/>
  <c r="D8" i="1"/>
  <c r="C8" i="1"/>
  <c r="T18" i="1" l="1"/>
  <c r="T21" i="1"/>
  <c r="D9" i="1"/>
  <c r="I41" i="1"/>
  <c r="C9" i="1"/>
  <c r="N18" i="1"/>
  <c r="M18" i="1"/>
  <c r="I20" i="1"/>
  <c r="I22" i="1" s="1"/>
  <c r="M31" i="1"/>
  <c r="N31" i="1" s="1"/>
  <c r="M45" i="1"/>
  <c r="N45" i="1"/>
  <c r="N44" i="1"/>
  <c r="M44" i="1"/>
  <c r="F20" i="1"/>
  <c r="F22" i="1" s="1"/>
  <c r="J20" i="1"/>
  <c r="J22" i="1" s="1"/>
  <c r="C20" i="1"/>
  <c r="C22" i="1" s="1"/>
  <c r="G20" i="1"/>
  <c r="G22" i="1" s="1"/>
  <c r="K20" i="1"/>
  <c r="K22" i="1" s="1"/>
  <c r="M11" i="1"/>
  <c r="D20" i="1"/>
  <c r="D22" i="1" s="1"/>
  <c r="H20" i="1"/>
  <c r="H22" i="1" s="1"/>
  <c r="L20" i="1"/>
  <c r="J42" i="1"/>
  <c r="L9" i="1"/>
  <c r="E20" i="1"/>
  <c r="E22" i="1" s="1"/>
  <c r="L22" i="1" l="1"/>
  <c r="M20" i="1"/>
  <c r="N20" i="1"/>
  <c r="N9" i="1"/>
  <c r="M9" i="1"/>
  <c r="K42" i="1"/>
  <c r="J41" i="1"/>
  <c r="K41" i="1" l="1"/>
  <c r="L42" i="1"/>
  <c r="N22" i="1"/>
  <c r="M22" i="1"/>
  <c r="N42" i="1" l="1"/>
  <c r="L41" i="1"/>
  <c r="N41" i="1" s="1"/>
  <c r="M42" i="1"/>
  <c r="M41" i="1" s="1"/>
</calcChain>
</file>

<file path=xl/sharedStrings.xml><?xml version="1.0" encoding="utf-8"?>
<sst xmlns="http://schemas.openxmlformats.org/spreadsheetml/2006/main" count="87" uniqueCount="73">
  <si>
    <t>Table</t>
  </si>
  <si>
    <t>UNIVERSITY SYSTEM OF MARYLAND</t>
  </si>
  <si>
    <t>ENROLLMENT PROJECTIONS</t>
  </si>
  <si>
    <r>
      <rPr>
        <b/>
        <sz val="10"/>
        <color rgb="FF000000"/>
        <rFont val="Arial"/>
        <family val="2"/>
      </rPr>
      <t xml:space="preserve">USM:  </t>
    </r>
    <r>
      <rPr>
        <b/>
        <sz val="10"/>
        <color rgb="FFFF0000"/>
        <rFont val="Arial"/>
        <family val="2"/>
      </rPr>
      <t>University of Baltimore</t>
    </r>
  </si>
  <si>
    <t>Fall Headcount Projections</t>
  </si>
  <si>
    <t>Fall Student Data</t>
  </si>
  <si>
    <t>Actual</t>
  </si>
  <si>
    <t xml:space="preserve"> Change From
 Fall 2023 - Fall 2033</t>
  </si>
  <si>
    <t>Number</t>
  </si>
  <si>
    <t>Percent</t>
  </si>
  <si>
    <t>Headcount Total</t>
  </si>
  <si>
    <t>Undergraduate Total</t>
  </si>
  <si>
    <t xml:space="preserve"> Full-time</t>
  </si>
  <si>
    <t xml:space="preserve"> Part-time</t>
  </si>
  <si>
    <t xml:space="preserve">Grad./First Prof. Total </t>
  </si>
  <si>
    <t xml:space="preserve"> FTDE or FTNE Students</t>
  </si>
  <si>
    <t>FISCAL YEAR Full-Time Equivalent (FTE)</t>
  </si>
  <si>
    <t>Est.</t>
  </si>
  <si>
    <t xml:space="preserve"> Change From
 FY 2023 - FY 2033</t>
  </si>
  <si>
    <t xml:space="preserve"> Total University FTE Students</t>
  </si>
  <si>
    <t>Subtotal FTE University Centers</t>
  </si>
  <si>
    <t xml:space="preserve"> U at Shady Grove FTE</t>
  </si>
  <si>
    <t xml:space="preserve"> Hagerstown FTE</t>
  </si>
  <si>
    <t>Southern Maryland FTE</t>
  </si>
  <si>
    <t>Towson University Northeast (TUNE)</t>
  </si>
  <si>
    <t>Other (Please Specify)</t>
  </si>
  <si>
    <t>FISCAL YEAR Enrollment Targets</t>
  </si>
  <si>
    <r>
      <t xml:space="preserve"> Total New Students </t>
    </r>
    <r>
      <rPr>
        <b/>
        <sz val="8"/>
        <rFont val="Arial"/>
        <family val="2"/>
      </rPr>
      <t>(Credit Only)</t>
    </r>
    <r>
      <rPr>
        <b/>
        <sz val="10"/>
        <rFont val="Arial"/>
        <family val="2"/>
      </rPr>
      <t>**</t>
    </r>
  </si>
  <si>
    <t xml:space="preserve">New Graduate Students </t>
  </si>
  <si>
    <t>New First-time, Full-time UG</t>
  </si>
  <si>
    <t>New MDCC Transfer Students UG</t>
  </si>
  <si>
    <t>New  Other Transfer Students UG</t>
  </si>
  <si>
    <t>New Other UG Students (Specify):</t>
  </si>
  <si>
    <r>
      <t>New Other Graduate (Specify):</t>
    </r>
    <r>
      <rPr>
        <b/>
        <sz val="10"/>
        <color rgb="FFFF0000"/>
        <rFont val="Arial"/>
        <family val="2"/>
      </rPr>
      <t xml:space="preserve"> </t>
    </r>
  </si>
  <si>
    <t xml:space="preserve">**Note: Enrollment projections are based on credit enrollment at the institution. At this time, non-credit activity is not part of the collection.  Refer to campus enrollment plans and  customize the new students targets as needed to reflect the unique degree-mix and addressable market for the institution. The main groups to compare across USM  are the Graduate, FTFT UG, MDCC Transfer, and other transfers. To the extent credit-based addressable markets are shifting, please subset and describe. </t>
  </si>
  <si>
    <t>(optional workspace) FISCAL YEAR Enrollment Increases from Retention and Returning Students</t>
  </si>
  <si>
    <t xml:space="preserve">In this section, if there are retention increase goals or expectations to recruit more stop-outs, please include how those goals will contribute to the total headcount numbers above. This is a workspace only. It is intended to help institutions add new students and returning students together in a way that adds to the total headcount number. </t>
  </si>
  <si>
    <t xml:space="preserve"> Change From
 FY 2023 - FY 2032</t>
  </si>
  <si>
    <t>Increase from UG Retention</t>
  </si>
  <si>
    <t>Graduate Retention</t>
  </si>
  <si>
    <t>Recovering Stop-outs</t>
  </si>
  <si>
    <t>Institution Specifies</t>
  </si>
  <si>
    <t xml:space="preserve">Comments:  </t>
  </si>
  <si>
    <t xml:space="preserve">    </t>
  </si>
  <si>
    <t>Completed by: Katie Kauffman &amp; Roxie Shabazz</t>
  </si>
  <si>
    <t>Phone:  4108376207</t>
  </si>
  <si>
    <t>E-Mail: kkauffman@ubalt.edu</t>
  </si>
  <si>
    <t>*xl#</t>
  </si>
  <si>
    <t>Optimistic Scenario</t>
  </si>
  <si>
    <t>IMPACT %</t>
  </si>
  <si>
    <t>IMPACT #</t>
  </si>
  <si>
    <t>IMPACTED FALL 24 PROJECTION</t>
  </si>
  <si>
    <t>FALL 23 ACTUALS</t>
  </si>
  <si>
    <t>PREDICTED YOY</t>
  </si>
  <si>
    <t>CHANGE #</t>
  </si>
  <si>
    <t>AFTER IMPACT</t>
  </si>
  <si>
    <t>CHANGE %</t>
  </si>
  <si>
    <t>UG Returning</t>
  </si>
  <si>
    <t>UG First-Time</t>
  </si>
  <si>
    <t>UG Transfer</t>
  </si>
  <si>
    <t>UG HS Dual</t>
  </si>
  <si>
    <t>N/A</t>
  </si>
  <si>
    <t>GR Returning *</t>
  </si>
  <si>
    <t>GR New *</t>
  </si>
  <si>
    <t>NEW TOTAL</t>
  </si>
  <si>
    <t>Original Fall 2024 Projection by EM</t>
  </si>
  <si>
    <t>Collaborative Projection Submitted to USM</t>
  </si>
  <si>
    <t>UG TOTAL</t>
  </si>
  <si>
    <t>GR TOTAL</t>
  </si>
  <si>
    <t>OLIVER'S IMPACT # ON COLLABORATIVE PROJECTION</t>
  </si>
  <si>
    <t>OLIVER'S IMPACT #</t>
  </si>
  <si>
    <t>OLIVER'S IMPACT %</t>
  </si>
  <si>
    <t>OLLIVER'S IMPACT 5 APPLIED TO: Collaborative Projection Submitted to USM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</si>
</sst>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9"/>
      <name val="Segoe U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6100"/>
      <name val="Consolas"/>
      <family val="3"/>
    </font>
    <font>
      <b/>
      <sz val="8"/>
      <color rgb="FF000000"/>
      <name val="Consolas"/>
      <family val="3"/>
    </font>
    <font>
      <sz val="10"/>
      <color rgb="FF000000"/>
      <name val="Consolas"/>
      <family val="3"/>
    </font>
    <font>
      <b/>
      <sz val="10"/>
      <color rgb="FF000000"/>
      <name val="Consolas"/>
      <family val="3"/>
    </font>
    <font>
      <b/>
      <sz val="12"/>
      <color rgb="FF000000"/>
      <name val="Consolas"/>
      <family val="3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 applyProtection="0">
      <alignment vertical="top"/>
    </xf>
  </cellStyleXfs>
  <cellXfs count="18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3" fontId="1" fillId="2" borderId="8" xfId="1" applyNumberFormat="1" applyFill="1" applyBorder="1" applyAlignment="1">
      <alignment vertical="center"/>
    </xf>
    <xf numFmtId="3" fontId="1" fillId="2" borderId="12" xfId="1" applyNumberFormat="1" applyFill="1" applyBorder="1" applyAlignment="1">
      <alignment vertical="center"/>
    </xf>
    <xf numFmtId="3" fontId="1" fillId="2" borderId="13" xfId="1" applyNumberFormat="1" applyFill="1" applyBorder="1" applyAlignment="1">
      <alignment vertical="center"/>
    </xf>
    <xf numFmtId="3" fontId="1" fillId="2" borderId="14" xfId="1" applyNumberFormat="1" applyFill="1" applyBorder="1" applyAlignment="1">
      <alignment vertical="center"/>
    </xf>
    <xf numFmtId="3" fontId="1" fillId="2" borderId="15" xfId="1" applyNumberFormat="1" applyFill="1" applyBorder="1" applyAlignment="1">
      <alignment vertical="center"/>
    </xf>
    <xf numFmtId="164" fontId="1" fillId="2" borderId="16" xfId="2" applyNumberForma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3" fontId="1" fillId="0" borderId="8" xfId="1" applyNumberFormat="1" applyFill="1" applyBorder="1" applyAlignment="1">
      <alignment vertical="center"/>
    </xf>
    <xf numFmtId="3" fontId="1" fillId="0" borderId="12" xfId="1" applyNumberFormat="1" applyFill="1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3" fontId="1" fillId="0" borderId="0" xfId="1" applyNumberFormat="1" applyFill="1" applyBorder="1" applyAlignment="1">
      <alignment vertical="center"/>
    </xf>
    <xf numFmtId="165" fontId="1" fillId="0" borderId="0" xfId="1" applyNumberForma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7" xfId="0" quotePrefix="1" applyFont="1" applyBorder="1" applyAlignment="1">
      <alignment horizontal="left" vertical="center"/>
    </xf>
    <xf numFmtId="3" fontId="0" fillId="2" borderId="15" xfId="0" applyNumberFormat="1" applyFill="1" applyBorder="1" applyAlignment="1">
      <alignment vertical="center"/>
    </xf>
    <xf numFmtId="164" fontId="1" fillId="2" borderId="14" xfId="2" applyNumberForma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65" fontId="1" fillId="0" borderId="20" xfId="1" applyNumberFormat="1" applyFill="1" applyBorder="1" applyAlignment="1">
      <alignment vertical="center"/>
    </xf>
    <xf numFmtId="3" fontId="1" fillId="2" borderId="21" xfId="1" applyNumberFormat="1" applyFill="1" applyBorder="1" applyAlignment="1">
      <alignment vertical="center"/>
    </xf>
    <xf numFmtId="3" fontId="1" fillId="0" borderId="0" xfId="3" applyNumberFormat="1" applyBorder="1" applyAlignment="1">
      <alignment vertical="center"/>
    </xf>
    <xf numFmtId="164" fontId="1" fillId="0" borderId="0" xfId="1" applyNumberForma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3" fontId="1" fillId="2" borderId="22" xfId="1" applyNumberFormat="1" applyFill="1" applyBorder="1" applyAlignment="1">
      <alignment vertical="center"/>
    </xf>
    <xf numFmtId="3" fontId="1" fillId="2" borderId="23" xfId="1" applyNumberFormat="1" applyFill="1" applyBorder="1" applyAlignment="1">
      <alignment vertical="center"/>
    </xf>
    <xf numFmtId="3" fontId="1" fillId="2" borderId="24" xfId="1" applyNumberFormat="1" applyFill="1" applyBorder="1" applyAlignment="1">
      <alignment vertical="center"/>
    </xf>
    <xf numFmtId="3" fontId="1" fillId="3" borderId="24" xfId="1" applyNumberFormat="1" applyFill="1" applyBorder="1" applyAlignment="1">
      <alignment vertical="center"/>
    </xf>
    <xf numFmtId="3" fontId="1" fillId="3" borderId="25" xfId="1" applyNumberFormat="1" applyFill="1" applyBorder="1" applyAlignment="1">
      <alignment vertical="center"/>
    </xf>
    <xf numFmtId="3" fontId="1" fillId="2" borderId="26" xfId="1" applyNumberFormat="1" applyFill="1" applyBorder="1" applyAlignment="1">
      <alignment vertical="center"/>
    </xf>
    <xf numFmtId="164" fontId="1" fillId="2" borderId="27" xfId="2" applyNumberFormat="1" applyFill="1" applyBorder="1" applyAlignment="1">
      <alignment vertical="center"/>
    </xf>
    <xf numFmtId="0" fontId="2" fillId="0" borderId="28" xfId="0" applyFont="1" applyBorder="1" applyAlignment="1">
      <alignment horizontal="left" vertical="center" indent="2"/>
    </xf>
    <xf numFmtId="3" fontId="1" fillId="0" borderId="29" xfId="1" applyNumberFormat="1" applyFill="1" applyBorder="1" applyAlignment="1">
      <alignment vertical="center"/>
    </xf>
    <xf numFmtId="3" fontId="1" fillId="0" borderId="30" xfId="1" applyNumberFormat="1" applyFont="1" applyFill="1" applyBorder="1" applyAlignment="1">
      <alignment vertical="center"/>
    </xf>
    <xf numFmtId="3" fontId="1" fillId="0" borderId="31" xfId="1" applyNumberFormat="1" applyFont="1" applyFill="1" applyBorder="1" applyAlignment="1">
      <alignment vertical="center"/>
    </xf>
    <xf numFmtId="3" fontId="1" fillId="3" borderId="31" xfId="1" applyNumberFormat="1" applyFill="1" applyBorder="1" applyAlignment="1">
      <alignment vertical="center"/>
    </xf>
    <xf numFmtId="3" fontId="1" fillId="3" borderId="32" xfId="1" applyNumberFormat="1" applyFill="1" applyBorder="1" applyAlignment="1">
      <alignment vertical="center"/>
    </xf>
    <xf numFmtId="3" fontId="1" fillId="2" borderId="33" xfId="1" applyNumberFormat="1" applyFill="1" applyBorder="1" applyAlignment="1">
      <alignment vertical="center"/>
    </xf>
    <xf numFmtId="164" fontId="1" fillId="2" borderId="34" xfId="2" applyNumberFormat="1" applyFill="1" applyBorder="1" applyAlignment="1">
      <alignment vertical="center"/>
    </xf>
    <xf numFmtId="3" fontId="1" fillId="0" borderId="30" xfId="1" applyNumberFormat="1" applyFill="1" applyBorder="1" applyAlignment="1">
      <alignment vertical="center"/>
    </xf>
    <xf numFmtId="3" fontId="1" fillId="0" borderId="31" xfId="1" applyNumberFormat="1" applyFill="1" applyBorder="1" applyAlignment="1">
      <alignment vertical="center"/>
    </xf>
    <xf numFmtId="0" fontId="2" fillId="0" borderId="35" xfId="0" applyFont="1" applyBorder="1" applyAlignment="1">
      <alignment horizontal="left" vertical="center" indent="2"/>
    </xf>
    <xf numFmtId="3" fontId="1" fillId="0" borderId="36" xfId="1" applyNumberFormat="1" applyFill="1" applyBorder="1" applyAlignment="1">
      <alignment vertical="center"/>
    </xf>
    <xf numFmtId="3" fontId="1" fillId="0" borderId="37" xfId="1" applyNumberFormat="1" applyFill="1" applyBorder="1" applyAlignment="1">
      <alignment vertical="center"/>
    </xf>
    <xf numFmtId="3" fontId="1" fillId="0" borderId="38" xfId="1" applyNumberFormat="1" applyFill="1" applyBorder="1" applyAlignment="1">
      <alignment vertical="center"/>
    </xf>
    <xf numFmtId="3" fontId="1" fillId="3" borderId="38" xfId="1" applyNumberFormat="1" applyFill="1" applyBorder="1" applyAlignment="1">
      <alignment vertical="center"/>
    </xf>
    <xf numFmtId="3" fontId="1" fillId="3" borderId="39" xfId="1" applyNumberFormat="1" applyFill="1" applyBorder="1" applyAlignment="1">
      <alignment vertical="center"/>
    </xf>
    <xf numFmtId="3" fontId="1" fillId="2" borderId="40" xfId="1" applyNumberFormat="1" applyFill="1" applyBorder="1" applyAlignment="1">
      <alignment vertical="center"/>
    </xf>
    <xf numFmtId="164" fontId="1" fillId="2" borderId="41" xfId="2" applyNumberForma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3" fontId="1" fillId="2" borderId="36" xfId="1" applyNumberFormat="1" applyFill="1" applyBorder="1" applyAlignment="1">
      <alignment vertical="center"/>
    </xf>
    <xf numFmtId="3" fontId="1" fillId="2" borderId="37" xfId="1" applyNumberFormat="1" applyFill="1" applyBorder="1" applyAlignment="1">
      <alignment vertical="center"/>
    </xf>
    <xf numFmtId="3" fontId="1" fillId="2" borderId="38" xfId="1" applyNumberFormat="1" applyFill="1" applyBorder="1" applyAlignment="1">
      <alignment vertical="center"/>
    </xf>
    <xf numFmtId="3" fontId="1" fillId="2" borderId="39" xfId="1" applyNumberFormat="1" applyFill="1" applyBorder="1" applyAlignment="1">
      <alignment vertical="center"/>
    </xf>
    <xf numFmtId="3" fontId="1" fillId="0" borderId="42" xfId="1" applyNumberFormat="1" applyFill="1" applyBorder="1" applyAlignment="1">
      <alignment vertical="center"/>
    </xf>
    <xf numFmtId="3" fontId="1" fillId="4" borderId="43" xfId="1" applyNumberFormat="1" applyFill="1" applyBorder="1" applyAlignment="1">
      <alignment vertical="center"/>
    </xf>
    <xf numFmtId="3" fontId="1" fillId="4" borderId="44" xfId="1" applyNumberFormat="1" applyFill="1" applyBorder="1" applyAlignment="1">
      <alignment vertical="center"/>
    </xf>
    <xf numFmtId="3" fontId="1" fillId="2" borderId="45" xfId="1" applyNumberFormat="1" applyFill="1" applyBorder="1" applyAlignment="1">
      <alignment vertical="center"/>
    </xf>
    <xf numFmtId="3" fontId="1" fillId="4" borderId="30" xfId="1" applyNumberFormat="1" applyFill="1" applyBorder="1" applyAlignment="1">
      <alignment vertical="center"/>
    </xf>
    <xf numFmtId="3" fontId="1" fillId="4" borderId="31" xfId="1" applyNumberFormat="1" applyFill="1" applyBorder="1" applyAlignment="1">
      <alignment vertical="center"/>
    </xf>
    <xf numFmtId="3" fontId="1" fillId="4" borderId="32" xfId="1" applyNumberFormat="1" applyFill="1" applyBorder="1" applyAlignment="1">
      <alignment vertical="center"/>
    </xf>
    <xf numFmtId="3" fontId="1" fillId="4" borderId="37" xfId="1" applyNumberFormat="1" applyFill="1" applyBorder="1" applyAlignment="1">
      <alignment vertical="center"/>
    </xf>
    <xf numFmtId="3" fontId="1" fillId="4" borderId="38" xfId="1" applyNumberForma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" fillId="0" borderId="0" xfId="2" applyNumberFormat="1" applyFill="1" applyBorder="1" applyAlignment="1">
      <alignment vertical="center"/>
    </xf>
    <xf numFmtId="3" fontId="1" fillId="0" borderId="22" xfId="1" applyNumberForma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  <xf numFmtId="3" fontId="1" fillId="0" borderId="24" xfId="1" applyNumberFormat="1" applyFill="1" applyBorder="1" applyAlignment="1">
      <alignment vertical="center"/>
    </xf>
    <xf numFmtId="3" fontId="1" fillId="0" borderId="25" xfId="1" applyNumberFormat="1" applyFill="1" applyBorder="1" applyAlignment="1">
      <alignment vertical="center"/>
    </xf>
    <xf numFmtId="3" fontId="1" fillId="0" borderId="32" xfId="1" applyNumberFormat="1" applyFill="1" applyBorder="1" applyAlignment="1">
      <alignment vertical="center"/>
    </xf>
    <xf numFmtId="3" fontId="1" fillId="0" borderId="39" xfId="1" applyNumberFormat="1" applyFill="1" applyBorder="1" applyAlignment="1">
      <alignment vertical="center"/>
    </xf>
    <xf numFmtId="3" fontId="1" fillId="4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28" xfId="0" applyFont="1" applyBorder="1" applyAlignment="1">
      <alignment vertical="center" wrapText="1"/>
    </xf>
    <xf numFmtId="3" fontId="1" fillId="0" borderId="5" xfId="1" applyNumberFormat="1" applyFill="1" applyBorder="1" applyAlignment="1">
      <alignment vertical="center"/>
    </xf>
    <xf numFmtId="3" fontId="1" fillId="0" borderId="44" xfId="1" applyNumberFormat="1" applyFill="1" applyBorder="1" applyAlignment="1">
      <alignment vertical="center"/>
    </xf>
    <xf numFmtId="3" fontId="1" fillId="2" borderId="44" xfId="1" applyNumberFormat="1" applyFill="1" applyBorder="1" applyAlignment="1">
      <alignment vertical="center"/>
    </xf>
    <xf numFmtId="164" fontId="0" fillId="2" borderId="47" xfId="2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1" fillId="0" borderId="48" xfId="1" applyNumberFormat="1" applyFill="1" applyBorder="1" applyAlignment="1">
      <alignment vertical="center"/>
    </xf>
    <xf numFmtId="3" fontId="1" fillId="0" borderId="49" xfId="1" applyNumberFormat="1" applyFill="1" applyBorder="1" applyAlignment="1">
      <alignment vertical="center"/>
    </xf>
    <xf numFmtId="3" fontId="1" fillId="2" borderId="31" xfId="1" applyNumberFormat="1" applyFill="1" applyBorder="1" applyAlignment="1">
      <alignment vertical="center"/>
    </xf>
    <xf numFmtId="164" fontId="1" fillId="2" borderId="34" xfId="1" applyNumberForma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3" fontId="1" fillId="0" borderId="50" xfId="1" applyNumberFormat="1" applyFill="1" applyBorder="1" applyAlignment="1">
      <alignment vertical="center"/>
    </xf>
    <xf numFmtId="164" fontId="1" fillId="2" borderId="41" xfId="1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/>
    <xf numFmtId="0" fontId="13" fillId="6" borderId="51" xfId="0" applyFont="1" applyFill="1" applyBorder="1" applyAlignment="1">
      <alignment horizontal="center" vertical="center" wrapText="1"/>
    </xf>
    <xf numFmtId="0" fontId="13" fillId="6" borderId="55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10" fontId="16" fillId="7" borderId="54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43" fontId="14" fillId="0" borderId="0" xfId="1" applyFont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8" borderId="0" xfId="0" applyFill="1" applyAlignment="1">
      <alignment vertical="center"/>
    </xf>
    <xf numFmtId="0" fontId="17" fillId="8" borderId="0" xfId="0" applyFont="1" applyFill="1"/>
    <xf numFmtId="0" fontId="17" fillId="8" borderId="0" xfId="0" applyFont="1" applyFill="1" applyAlignment="1">
      <alignment vertical="center"/>
    </xf>
    <xf numFmtId="43" fontId="15" fillId="8" borderId="0" xfId="1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7" fillId="8" borderId="1" xfId="0" applyFont="1" applyFill="1" applyBorder="1"/>
    <xf numFmtId="0" fontId="17" fillId="8" borderId="1" xfId="0" applyFont="1" applyFill="1" applyBorder="1" applyAlignment="1">
      <alignment vertical="center"/>
    </xf>
    <xf numFmtId="43" fontId="15" fillId="8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164" fontId="14" fillId="0" borderId="0" xfId="2" applyNumberFormat="1" applyFont="1" applyAlignment="1">
      <alignment horizontal="center" vertical="center"/>
    </xf>
    <xf numFmtId="0" fontId="3" fillId="8" borderId="0" xfId="0" applyFont="1" applyFill="1" applyAlignment="1">
      <alignment vertical="center"/>
    </xf>
    <xf numFmtId="9" fontId="0" fillId="0" borderId="0" xfId="2" applyFont="1" applyAlignment="1">
      <alignment vertical="center"/>
    </xf>
    <xf numFmtId="0" fontId="13" fillId="9" borderId="51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horizontal="center" vertical="center" wrapText="1"/>
    </xf>
    <xf numFmtId="9" fontId="0" fillId="9" borderId="0" xfId="2" applyFont="1" applyFill="1" applyAlignment="1">
      <alignment vertical="center"/>
    </xf>
    <xf numFmtId="0" fontId="0" fillId="0" borderId="1" xfId="0" applyBorder="1" applyAlignment="1">
      <alignment vertical="center"/>
    </xf>
    <xf numFmtId="0" fontId="13" fillId="6" borderId="51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13" fillId="8" borderId="51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3" xfId="0" applyFont="1" applyFill="1" applyBorder="1" applyAlignment="1">
      <alignment horizontal="center" vertical="center" wrapText="1"/>
    </xf>
    <xf numFmtId="0" fontId="13" fillId="9" borderId="51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56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_Sept 24 2001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balt.sharepoint.com/sites/EnrollmentProjectionsCollaboration/Shared%20Documents/General/DRAFT%20Projections/EM%20Enrollment%20Projections%20with%20Proposed%20Changes%20from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ons- Two Models IR  (2)"/>
    </sheetNames>
    <sheetDataSet>
      <sheetData sheetId="0" refreshError="1">
        <row r="9">
          <cell r="S9">
            <v>672</v>
          </cell>
        </row>
        <row r="10">
          <cell r="S10">
            <v>599</v>
          </cell>
          <cell r="T10">
            <v>677</v>
          </cell>
          <cell r="U10">
            <v>745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1048576"/>
  <sheetViews>
    <sheetView showGridLines="0" tabSelected="1" topLeftCell="B1" zoomScaleNormal="100" workbookViewId="0">
      <selection activeCell="P1" sqref="P1:AW1048576"/>
    </sheetView>
  </sheetViews>
  <sheetFormatPr defaultColWidth="9.140625" defaultRowHeight="12.75" customHeight="1" x14ac:dyDescent="0.2"/>
  <cols>
    <col min="1" max="1" width="36.85546875" style="1" customWidth="1"/>
    <col min="2" max="12" width="8.85546875" style="1" customWidth="1"/>
    <col min="13" max="13" width="10.140625" style="1" customWidth="1"/>
    <col min="14" max="14" width="9.28515625" style="1" customWidth="1"/>
    <col min="15" max="15" width="9.140625" style="1"/>
    <col min="16" max="16" width="0" style="1" hidden="1" customWidth="1"/>
    <col min="17" max="17" width="15.140625" style="1" hidden="1" customWidth="1"/>
    <col min="18" max="19" width="0" style="1" hidden="1" customWidth="1"/>
    <col min="20" max="20" width="11" style="1" hidden="1" customWidth="1"/>
    <col min="21" max="21" width="15" style="1" hidden="1" customWidth="1"/>
    <col min="22" max="23" width="0" style="1" hidden="1" customWidth="1"/>
    <col min="24" max="24" width="18.28515625" style="1" hidden="1" customWidth="1"/>
    <col min="25" max="25" width="15.42578125" style="1" hidden="1" customWidth="1"/>
    <col min="26" max="26" width="11.85546875" style="1" hidden="1" customWidth="1"/>
    <col min="27" max="49" width="0" style="1" hidden="1" customWidth="1"/>
    <col min="50" max="16384" width="9.140625" style="1"/>
  </cols>
  <sheetData>
    <row r="1" spans="1:54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P1" s="1">
        <v>3102</v>
      </c>
      <c r="Q1" s="1">
        <v>3089</v>
      </c>
      <c r="R1" s="1">
        <v>57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">
      <c r="A4" s="126" t="s">
        <v>3</v>
      </c>
      <c r="B4" s="4"/>
      <c r="C4" s="4"/>
      <c r="D4" s="4"/>
      <c r="E4" s="4"/>
      <c r="F4" s="5"/>
      <c r="G4" s="5"/>
      <c r="H4" s="4"/>
      <c r="I4" s="4"/>
      <c r="J4" s="4"/>
      <c r="K4" s="4"/>
      <c r="L4" s="4"/>
      <c r="M4" s="4"/>
      <c r="N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3.5" thickBot="1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1" customHeight="1" thickBot="1" x14ac:dyDescent="0.25">
      <c r="A6" s="174" t="s">
        <v>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36" customHeight="1" x14ac:dyDescent="0.2">
      <c r="A7" s="8" t="s">
        <v>5</v>
      </c>
      <c r="B7" s="9" t="s">
        <v>6</v>
      </c>
      <c r="C7" s="10"/>
      <c r="D7" s="3"/>
      <c r="E7" s="3"/>
      <c r="F7" s="3"/>
      <c r="G7" s="3"/>
      <c r="H7" s="3"/>
      <c r="I7" s="3"/>
      <c r="J7" s="3"/>
      <c r="K7" s="3"/>
      <c r="L7" s="3"/>
      <c r="M7" s="172" t="s">
        <v>7</v>
      </c>
      <c r="N7" s="17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">
      <c r="A8" s="11"/>
      <c r="B8" s="12">
        <v>2023</v>
      </c>
      <c r="C8" s="13">
        <f>$B$8+1</f>
        <v>2024</v>
      </c>
      <c r="D8" s="13">
        <f>$B$8+2</f>
        <v>2025</v>
      </c>
      <c r="E8" s="13">
        <f>$B$8+3</f>
        <v>2026</v>
      </c>
      <c r="F8" s="13">
        <f>$B$8+4</f>
        <v>2027</v>
      </c>
      <c r="G8" s="13">
        <f>$B$8+5</f>
        <v>2028</v>
      </c>
      <c r="H8" s="13">
        <f>$B$8+6</f>
        <v>2029</v>
      </c>
      <c r="I8" s="13">
        <f>$B$8+7</f>
        <v>2030</v>
      </c>
      <c r="J8" s="13">
        <f>$B$8+8</f>
        <v>2031</v>
      </c>
      <c r="K8" s="13">
        <f>$B$8+9</f>
        <v>2032</v>
      </c>
      <c r="L8" s="13">
        <f>$B$8+10</f>
        <v>2033</v>
      </c>
      <c r="M8" s="14" t="s">
        <v>8</v>
      </c>
      <c r="N8" s="15" t="s">
        <v>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">
      <c r="A9" s="16" t="s">
        <v>10</v>
      </c>
      <c r="B9" s="17">
        <v>3101</v>
      </c>
      <c r="C9" s="18">
        <f t="shared" ref="C9:L9" si="0">C11+C18</f>
        <v>3102</v>
      </c>
      <c r="D9" s="19">
        <f t="shared" si="0"/>
        <v>3222</v>
      </c>
      <c r="E9" s="19">
        <f t="shared" si="0"/>
        <v>3410</v>
      </c>
      <c r="F9" s="19">
        <f t="shared" si="0"/>
        <v>3597</v>
      </c>
      <c r="G9" s="19">
        <f t="shared" si="0"/>
        <v>3794</v>
      </c>
      <c r="H9" s="19">
        <f t="shared" si="0"/>
        <v>4005</v>
      </c>
      <c r="I9" s="19">
        <f t="shared" si="0"/>
        <v>4061</v>
      </c>
      <c r="J9" s="19">
        <f t="shared" si="0"/>
        <v>4118</v>
      </c>
      <c r="K9" s="19">
        <f t="shared" si="0"/>
        <v>4177</v>
      </c>
      <c r="L9" s="20">
        <f t="shared" si="0"/>
        <v>4237</v>
      </c>
      <c r="M9" s="21">
        <f>L9-B9</f>
        <v>1136</v>
      </c>
      <c r="N9" s="22">
        <f>IFERROR((L9-B9)/B9,"")</f>
        <v>0.36633344082554015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3.5" thickBot="1" x14ac:dyDescent="0.25">
      <c r="A10" s="23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6"/>
      <c r="P10" s="127"/>
      <c r="Q10" s="127"/>
      <c r="R10" s="141" t="s">
        <v>48</v>
      </c>
      <c r="S10" s="141"/>
      <c r="T10" s="141"/>
      <c r="U10" s="141"/>
      <c r="V10" s="141"/>
      <c r="W10" s="141"/>
      <c r="X10" s="141"/>
      <c r="Y10" s="141"/>
      <c r="Z10" s="12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22.5" customHeight="1" x14ac:dyDescent="0.2">
      <c r="A11" s="16" t="s">
        <v>11</v>
      </c>
      <c r="B11" s="17">
        <v>1292</v>
      </c>
      <c r="C11" s="18">
        <f t="shared" ref="C11:L11" si="1">C13+C15</f>
        <v>1285</v>
      </c>
      <c r="D11" s="19">
        <f t="shared" si="1"/>
        <v>1363</v>
      </c>
      <c r="E11" s="19">
        <f t="shared" si="1"/>
        <v>1458</v>
      </c>
      <c r="F11" s="19">
        <f t="shared" si="1"/>
        <v>1539</v>
      </c>
      <c r="G11" s="19">
        <f t="shared" si="1"/>
        <v>1625</v>
      </c>
      <c r="H11" s="19">
        <f t="shared" si="1"/>
        <v>1716</v>
      </c>
      <c r="I11" s="19">
        <f t="shared" si="1"/>
        <v>1725</v>
      </c>
      <c r="J11" s="19">
        <f t="shared" si="1"/>
        <v>1734</v>
      </c>
      <c r="K11" s="19">
        <f t="shared" si="1"/>
        <v>1743</v>
      </c>
      <c r="L11" s="20">
        <f t="shared" si="1"/>
        <v>1752</v>
      </c>
      <c r="M11" s="21">
        <f>L11-B11</f>
        <v>460</v>
      </c>
      <c r="N11" s="22">
        <f>IFERROR((L11-B11)/B11,"")</f>
        <v>0.35603715170278638</v>
      </c>
      <c r="P11" s="170"/>
      <c r="Q11" s="171"/>
      <c r="R11" s="167" t="s">
        <v>49</v>
      </c>
      <c r="S11" s="167" t="s">
        <v>50</v>
      </c>
      <c r="T11" s="156"/>
      <c r="U11" s="167" t="s">
        <v>51</v>
      </c>
      <c r="V11" s="164" t="s">
        <v>66</v>
      </c>
      <c r="W11" s="167" t="s">
        <v>71</v>
      </c>
      <c r="X11" s="164" t="s">
        <v>72</v>
      </c>
      <c r="Y11" s="167" t="s">
        <v>70</v>
      </c>
      <c r="Z11" s="161" t="s">
        <v>69</v>
      </c>
      <c r="AA11" s="161" t="s">
        <v>52</v>
      </c>
      <c r="AB11" s="128" t="s">
        <v>53</v>
      </c>
      <c r="AC11" s="129" t="s">
        <v>53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4" ht="45" x14ac:dyDescent="0.2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4"/>
      <c r="N12" s="26"/>
      <c r="P12" s="170"/>
      <c r="Q12" s="171"/>
      <c r="R12" s="168"/>
      <c r="S12" s="168"/>
      <c r="T12" s="157" t="s">
        <v>65</v>
      </c>
      <c r="U12" s="168"/>
      <c r="V12" s="165"/>
      <c r="W12" s="168"/>
      <c r="X12" s="165"/>
      <c r="Y12" s="168"/>
      <c r="Z12" s="162"/>
      <c r="AA12" s="162"/>
      <c r="AB12" s="130" t="s">
        <v>54</v>
      </c>
      <c r="AC12" s="132" t="s">
        <v>56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ht="23.25" thickBot="1" x14ac:dyDescent="0.25">
      <c r="A13" s="27" t="s">
        <v>12</v>
      </c>
      <c r="B13" s="28">
        <v>693</v>
      </c>
      <c r="C13" s="29">
        <v>686</v>
      </c>
      <c r="D13" s="29">
        <v>686</v>
      </c>
      <c r="E13" s="29">
        <v>713</v>
      </c>
      <c r="F13" s="29">
        <v>742</v>
      </c>
      <c r="G13" s="29">
        <v>772</v>
      </c>
      <c r="H13" s="29">
        <v>803</v>
      </c>
      <c r="I13" s="29">
        <v>803</v>
      </c>
      <c r="J13" s="29">
        <v>803</v>
      </c>
      <c r="K13" s="29">
        <v>803</v>
      </c>
      <c r="L13" s="29">
        <v>803</v>
      </c>
      <c r="M13" s="21">
        <f>L13-B13</f>
        <v>110</v>
      </c>
      <c r="N13" s="22">
        <f>IFERROR((L13-B13)/ABS(B13),"")</f>
        <v>0.15873015873015872</v>
      </c>
      <c r="P13" s="170"/>
      <c r="Q13" s="171"/>
      <c r="R13" s="169"/>
      <c r="S13" s="169"/>
      <c r="T13" s="158"/>
      <c r="U13" s="169"/>
      <c r="V13" s="166"/>
      <c r="W13" s="169"/>
      <c r="X13" s="166"/>
      <c r="Y13" s="169"/>
      <c r="Z13" s="163"/>
      <c r="AA13" s="163"/>
      <c r="AB13" s="131" t="s">
        <v>55</v>
      </c>
      <c r="AC13" s="133" t="s">
        <v>55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22.5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P14" s="127"/>
      <c r="Q14" s="134" t="s">
        <v>57</v>
      </c>
      <c r="R14" s="135">
        <v>-0.03</v>
      </c>
      <c r="S14" s="136">
        <v>-27</v>
      </c>
      <c r="T14" s="142">
        <f>U14-S14</f>
        <v>885</v>
      </c>
      <c r="U14" s="136">
        <v>858</v>
      </c>
      <c r="V14" s="144"/>
      <c r="W14" s="155">
        <f>S14/$S$18</f>
        <v>0.69230769230769229</v>
      </c>
      <c r="X14" s="144"/>
      <c r="Y14" s="136">
        <v>-27</v>
      </c>
      <c r="Z14" s="153"/>
      <c r="AA14" s="136">
        <v>931</v>
      </c>
      <c r="AB14" s="136">
        <v>-73</v>
      </c>
      <c r="AC14" s="135">
        <v>-0.08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4" x14ac:dyDescent="0.2">
      <c r="A15" s="27" t="s">
        <v>13</v>
      </c>
      <c r="B15" s="28">
        <v>599</v>
      </c>
      <c r="C15" s="29">
        <f>'[1]Projections- Two Models IR  (2)'!S10</f>
        <v>599</v>
      </c>
      <c r="D15" s="29">
        <f>'[1]Projections- Two Models IR  (2)'!T10</f>
        <v>677</v>
      </c>
      <c r="E15" s="29">
        <f>'[1]Projections- Two Models IR  (2)'!U10</f>
        <v>745</v>
      </c>
      <c r="F15" s="29">
        <v>797</v>
      </c>
      <c r="G15" s="29">
        <v>853</v>
      </c>
      <c r="H15" s="29">
        <v>913</v>
      </c>
      <c r="I15" s="29">
        <v>922</v>
      </c>
      <c r="J15" s="29">
        <v>931</v>
      </c>
      <c r="K15" s="29">
        <v>940</v>
      </c>
      <c r="L15" s="29">
        <v>949</v>
      </c>
      <c r="M15" s="21">
        <f>L15-B15</f>
        <v>350</v>
      </c>
      <c r="N15" s="22">
        <f>IFERROR((L15-B15)/ABS(B15),"")</f>
        <v>0.58430717863105175</v>
      </c>
      <c r="P15" s="127"/>
      <c r="Q15" s="134" t="s">
        <v>58</v>
      </c>
      <c r="R15" s="135">
        <v>-0.05</v>
      </c>
      <c r="S15" s="136">
        <v>-2</v>
      </c>
      <c r="T15" s="142">
        <f>U15-S15</f>
        <v>41</v>
      </c>
      <c r="U15" s="136">
        <v>39</v>
      </c>
      <c r="V15" s="144"/>
      <c r="W15" s="155">
        <f t="shared" ref="W15:W17" si="2">S15/$S$18</f>
        <v>5.128205128205128E-2</v>
      </c>
      <c r="X15" s="144"/>
      <c r="Y15" s="136">
        <v>-2</v>
      </c>
      <c r="Z15" s="153"/>
      <c r="AA15" s="136">
        <v>41</v>
      </c>
      <c r="AB15" s="136">
        <v>-2</v>
      </c>
      <c r="AC15" s="135">
        <v>-0.05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4" x14ac:dyDescent="0.2">
      <c r="A16" s="33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P16" s="127"/>
      <c r="Q16" s="134" t="s">
        <v>59</v>
      </c>
      <c r="R16" s="135">
        <v>-0.03</v>
      </c>
      <c r="S16" s="136">
        <v>-10</v>
      </c>
      <c r="T16" s="142">
        <f>U16-S16</f>
        <v>325</v>
      </c>
      <c r="U16" s="136">
        <v>315</v>
      </c>
      <c r="V16" s="144"/>
      <c r="W16" s="155">
        <f t="shared" si="2"/>
        <v>0.25641025641025639</v>
      </c>
      <c r="X16" s="144"/>
      <c r="Y16" s="136">
        <v>-10</v>
      </c>
      <c r="Z16" s="153"/>
      <c r="AA16" s="136">
        <v>320</v>
      </c>
      <c r="AB16" s="136">
        <v>-5</v>
      </c>
      <c r="AC16" s="135">
        <v>-0.02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4" x14ac:dyDescent="0.2">
      <c r="A17" s="33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P17" s="127"/>
      <c r="Q17" s="134" t="s">
        <v>60</v>
      </c>
      <c r="R17" s="135">
        <v>0</v>
      </c>
      <c r="S17" s="136">
        <v>0</v>
      </c>
      <c r="T17" s="142">
        <f>U17-S17</f>
        <v>100</v>
      </c>
      <c r="U17" s="136">
        <v>100</v>
      </c>
      <c r="V17" s="144"/>
      <c r="W17" s="155">
        <f t="shared" si="2"/>
        <v>0</v>
      </c>
      <c r="X17" s="144"/>
      <c r="Y17" s="136">
        <v>0</v>
      </c>
      <c r="Z17" s="153"/>
      <c r="AA17" s="136">
        <v>0</v>
      </c>
      <c r="AB17" s="136">
        <v>100</v>
      </c>
      <c r="AC17" s="136" t="s">
        <v>61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4" x14ac:dyDescent="0.2">
      <c r="A18" s="16" t="s">
        <v>14</v>
      </c>
      <c r="B18" s="17">
        <f>1089+720</f>
        <v>1809</v>
      </c>
      <c r="C18" s="18">
        <f>1078+739</f>
        <v>1817</v>
      </c>
      <c r="D18" s="18">
        <f>1859</f>
        <v>1859</v>
      </c>
      <c r="E18" s="18">
        <v>1952</v>
      </c>
      <c r="F18" s="18">
        <v>2058</v>
      </c>
      <c r="G18" s="18">
        <v>2169</v>
      </c>
      <c r="H18" s="18">
        <v>2289</v>
      </c>
      <c r="I18" s="18">
        <v>2336</v>
      </c>
      <c r="J18" s="18">
        <v>2384</v>
      </c>
      <c r="K18" s="18">
        <v>2434</v>
      </c>
      <c r="L18" s="18">
        <v>2485</v>
      </c>
      <c r="M18" s="21">
        <f>L18-B18</f>
        <v>676</v>
      </c>
      <c r="N18" s="22">
        <f>IFERROR((L18-B18)/ABS(B18),"")</f>
        <v>0.37368711995577669</v>
      </c>
      <c r="P18" s="127"/>
      <c r="Q18" s="145" t="s">
        <v>67</v>
      </c>
      <c r="R18" s="146"/>
      <c r="S18" s="147">
        <f>SUM(S14:S17)</f>
        <v>-39</v>
      </c>
      <c r="T18" s="147">
        <f>SUM(T14:T17)</f>
        <v>1351</v>
      </c>
      <c r="U18" s="147">
        <f>SUM(U14:U17)</f>
        <v>1312</v>
      </c>
      <c r="V18" s="148">
        <v>1285</v>
      </c>
      <c r="W18" s="159">
        <f>S18/V18</f>
        <v>-3.0350194552529183E-2</v>
      </c>
      <c r="X18" s="148">
        <v>1285</v>
      </c>
      <c r="Y18" s="147">
        <f>SUM(Y14:Y17)</f>
        <v>-39</v>
      </c>
      <c r="Z18" s="147">
        <f>V18+Y18</f>
        <v>1246</v>
      </c>
      <c r="AA18" s="137"/>
      <c r="AB18" s="137"/>
      <c r="AC18" s="137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4" x14ac:dyDescent="0.2">
      <c r="A19" s="23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4"/>
      <c r="N19" s="26"/>
      <c r="P19" s="127"/>
      <c r="Q19" s="134" t="s">
        <v>62</v>
      </c>
      <c r="R19" s="135">
        <v>-0.01</v>
      </c>
      <c r="S19" s="136">
        <v>-12</v>
      </c>
      <c r="T19" s="142">
        <f>U19-S19</f>
        <v>1222</v>
      </c>
      <c r="U19" s="136">
        <v>1210</v>
      </c>
      <c r="V19" s="144"/>
      <c r="X19" s="144"/>
      <c r="Y19" s="136">
        <v>-12</v>
      </c>
      <c r="Z19" s="153"/>
      <c r="AA19" s="136">
        <v>1253</v>
      </c>
      <c r="AB19" s="136">
        <v>-43</v>
      </c>
      <c r="AC19" s="135">
        <v>-0.03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4" x14ac:dyDescent="0.2">
      <c r="A20" s="27" t="s">
        <v>12</v>
      </c>
      <c r="B20" s="28">
        <f>280+687</f>
        <v>967</v>
      </c>
      <c r="C20" s="29">
        <f>IFERROR(ROUND(($B$20/$B$18)*C18,0),0)</f>
        <v>971</v>
      </c>
      <c r="D20" s="29">
        <f t="shared" ref="D20:L20" si="3">IFERROR(ROUND(($B$20/$B$18)*D18,0),0)</f>
        <v>994</v>
      </c>
      <c r="E20" s="29">
        <f t="shared" si="3"/>
        <v>1043</v>
      </c>
      <c r="F20" s="29">
        <f t="shared" si="3"/>
        <v>1100</v>
      </c>
      <c r="G20" s="29">
        <f t="shared" si="3"/>
        <v>1159</v>
      </c>
      <c r="H20" s="29">
        <f t="shared" si="3"/>
        <v>1224</v>
      </c>
      <c r="I20" s="29">
        <f t="shared" si="3"/>
        <v>1249</v>
      </c>
      <c r="J20" s="29">
        <f t="shared" si="3"/>
        <v>1274</v>
      </c>
      <c r="K20" s="29">
        <f t="shared" si="3"/>
        <v>1301</v>
      </c>
      <c r="L20" s="29">
        <f t="shared" si="3"/>
        <v>1328</v>
      </c>
      <c r="M20" s="21">
        <f>L20-B20</f>
        <v>361</v>
      </c>
      <c r="N20" s="22">
        <f>IFERROR((L20-B20)/ABS(B20),"")</f>
        <v>0.37331954498448811</v>
      </c>
      <c r="P20" s="127"/>
      <c r="Q20" s="134" t="s">
        <v>63</v>
      </c>
      <c r="R20" s="135">
        <v>-0.01</v>
      </c>
      <c r="S20" s="136">
        <v>-6</v>
      </c>
      <c r="T20" s="142">
        <f>U20-S20</f>
        <v>573</v>
      </c>
      <c r="U20" s="136">
        <v>567</v>
      </c>
      <c r="V20" s="144"/>
      <c r="X20" s="144"/>
      <c r="Y20" s="136">
        <v>-6</v>
      </c>
      <c r="Z20" s="153"/>
      <c r="AA20" s="136">
        <v>556</v>
      </c>
      <c r="AB20" s="136">
        <v>11</v>
      </c>
      <c r="AC20" s="135">
        <v>0.02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4" ht="13.5" thickBot="1" x14ac:dyDescent="0.25">
      <c r="A21" s="27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P21" s="127"/>
      <c r="Q21" s="149" t="s">
        <v>68</v>
      </c>
      <c r="R21" s="150"/>
      <c r="S21" s="150"/>
      <c r="T21" s="151">
        <f>SUM(T19:T20)</f>
        <v>1795</v>
      </c>
      <c r="U21" s="151">
        <f>SUM(U19:U20)</f>
        <v>1777</v>
      </c>
      <c r="V21" s="152">
        <v>1817</v>
      </c>
      <c r="W21" s="160"/>
      <c r="X21" s="152">
        <v>1817</v>
      </c>
      <c r="Y21" s="151">
        <f>SUM(Y19:Y20)</f>
        <v>-18</v>
      </c>
      <c r="Z21" s="151">
        <f>V21+Y21</f>
        <v>1799</v>
      </c>
      <c r="AA21" s="137"/>
      <c r="AB21" s="137"/>
      <c r="AC21" s="137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4" ht="16.5" thickBot="1" x14ac:dyDescent="0.25">
      <c r="A22" s="27" t="s">
        <v>13</v>
      </c>
      <c r="B22" s="28">
        <f>809+33</f>
        <v>842</v>
      </c>
      <c r="C22" s="29">
        <f>C18-C20</f>
        <v>846</v>
      </c>
      <c r="D22" s="29">
        <f t="shared" ref="D22:L22" si="4">D18-D20</f>
        <v>865</v>
      </c>
      <c r="E22" s="29">
        <f t="shared" si="4"/>
        <v>909</v>
      </c>
      <c r="F22" s="29">
        <f t="shared" si="4"/>
        <v>958</v>
      </c>
      <c r="G22" s="29">
        <f t="shared" si="4"/>
        <v>1010</v>
      </c>
      <c r="H22" s="29">
        <f t="shared" si="4"/>
        <v>1065</v>
      </c>
      <c r="I22" s="29">
        <f t="shared" si="4"/>
        <v>1087</v>
      </c>
      <c r="J22" s="29">
        <f t="shared" si="4"/>
        <v>1110</v>
      </c>
      <c r="K22" s="29">
        <f t="shared" si="4"/>
        <v>1133</v>
      </c>
      <c r="L22" s="29">
        <f t="shared" si="4"/>
        <v>1157</v>
      </c>
      <c r="M22" s="21">
        <f>L22-B22</f>
        <v>315</v>
      </c>
      <c r="N22" s="22">
        <f>IFERROR((L22-B22)/ABS(B22),"")</f>
        <v>0.37410926365795727</v>
      </c>
      <c r="P22" s="137"/>
      <c r="Q22" s="138" t="s">
        <v>64</v>
      </c>
      <c r="R22" s="138"/>
      <c r="S22" s="138">
        <v>-57</v>
      </c>
      <c r="T22" s="142">
        <f>U22-S22</f>
        <v>3146</v>
      </c>
      <c r="U22" s="138">
        <v>3089</v>
      </c>
      <c r="V22" s="154">
        <f>V21+V18</f>
        <v>3102</v>
      </c>
      <c r="X22" s="154">
        <f>X21+X18</f>
        <v>3102</v>
      </c>
      <c r="Y22" s="138">
        <v>-57</v>
      </c>
      <c r="Z22" s="138">
        <f>V22+Y22</f>
        <v>3045</v>
      </c>
      <c r="AA22" s="138">
        <v>3101</v>
      </c>
      <c r="AB22" s="139">
        <v>-12</v>
      </c>
      <c r="AC22" s="140">
        <v>-4.0000000000000001E-3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4" x14ac:dyDescent="0.2">
      <c r="A23" s="34"/>
      <c r="B23" s="31"/>
      <c r="C23" s="35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T23" s="14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2">
      <c r="A24" s="36" t="s">
        <v>15</v>
      </c>
      <c r="B24" s="29">
        <v>751</v>
      </c>
      <c r="C24" s="29">
        <v>764.10820707070707</v>
      </c>
      <c r="D24" s="29">
        <v>774.95944674012856</v>
      </c>
      <c r="E24" s="29">
        <v>788.61066345270899</v>
      </c>
      <c r="F24" s="29">
        <v>801.11090449954099</v>
      </c>
      <c r="G24" s="29">
        <v>816.00346648301206</v>
      </c>
      <c r="H24" s="29">
        <v>831.29272268135912</v>
      </c>
      <c r="I24" s="29">
        <v>834.36434802571171</v>
      </c>
      <c r="J24" s="29">
        <v>837.4800505050506</v>
      </c>
      <c r="K24" s="29">
        <v>840.68390725436188</v>
      </c>
      <c r="L24" s="29">
        <v>843.93184113865937</v>
      </c>
      <c r="M24" s="37">
        <f>L24-B24</f>
        <v>92.931841138659365</v>
      </c>
      <c r="N24" s="38">
        <f>IFERROR((L24-B24)/ABS(B24),"")</f>
        <v>0.12374412934575149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3.5" thickBot="1" x14ac:dyDescent="0.25">
      <c r="A25" s="39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4"/>
      <c r="N25" s="2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9.5" customHeight="1" thickBot="1" x14ac:dyDescent="0.25">
      <c r="A26" s="175" t="s">
        <v>16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27" customHeight="1" x14ac:dyDescent="0.2">
      <c r="A27" s="40"/>
      <c r="B27" s="9" t="s">
        <v>17</v>
      </c>
      <c r="C27" s="10"/>
      <c r="D27" s="3"/>
      <c r="E27" s="3"/>
      <c r="F27" s="3"/>
      <c r="G27" s="3"/>
      <c r="H27" s="3"/>
      <c r="I27" s="3"/>
      <c r="J27" s="3"/>
      <c r="K27" s="3"/>
      <c r="L27" s="3"/>
      <c r="M27" s="172" t="s">
        <v>18</v>
      </c>
      <c r="N27" s="17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2">
      <c r="A28" s="176" t="s">
        <v>19</v>
      </c>
      <c r="B28" s="41">
        <v>2023</v>
      </c>
      <c r="C28" s="42">
        <v>2024</v>
      </c>
      <c r="D28" s="43">
        <v>2025</v>
      </c>
      <c r="E28" s="43">
        <v>2026</v>
      </c>
      <c r="F28" s="43">
        <v>2027</v>
      </c>
      <c r="G28" s="43">
        <v>2028</v>
      </c>
      <c r="H28" s="43">
        <v>2029</v>
      </c>
      <c r="I28" s="43">
        <v>2030</v>
      </c>
      <c r="J28" s="43">
        <v>2031</v>
      </c>
      <c r="K28" s="44">
        <v>2032</v>
      </c>
      <c r="L28" s="44">
        <v>2033</v>
      </c>
      <c r="M28" s="44" t="s">
        <v>8</v>
      </c>
      <c r="N28" s="45" t="s">
        <v>9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x14ac:dyDescent="0.2">
      <c r="A29" s="177"/>
      <c r="B29" s="28">
        <v>2140.3333333333335</v>
      </c>
      <c r="C29" s="46">
        <v>2138.6666666666665</v>
      </c>
      <c r="D29" s="46">
        <v>2194</v>
      </c>
      <c r="E29" s="46">
        <v>2307.3333333333335</v>
      </c>
      <c r="F29" s="46">
        <v>2427</v>
      </c>
      <c r="G29" s="46">
        <v>2552</v>
      </c>
      <c r="H29" s="46">
        <v>2686.333333333333</v>
      </c>
      <c r="I29" s="46">
        <v>2721.6666666666665</v>
      </c>
      <c r="J29" s="46">
        <v>2757.333333333333</v>
      </c>
      <c r="K29" s="46">
        <v>2795</v>
      </c>
      <c r="L29" s="46">
        <v>2833</v>
      </c>
      <c r="M29" s="47">
        <f>L29-B29</f>
        <v>692.66666666666652</v>
      </c>
      <c r="N29" s="38">
        <f>IFERROR((L29-B29)/ABS(B29),"")</f>
        <v>0.32362560348855307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2">
      <c r="A30" s="40"/>
      <c r="B30" s="4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1"/>
      <c r="N30" s="49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">
      <c r="A31" s="50" t="s">
        <v>20</v>
      </c>
      <c r="B31" s="51">
        <f t="shared" ref="B31:G31" si="5">SUM(B32:B36)</f>
        <v>35</v>
      </c>
      <c r="C31" s="52">
        <f t="shared" si="5"/>
        <v>42</v>
      </c>
      <c r="D31" s="53">
        <f t="shared" si="5"/>
        <v>45</v>
      </c>
      <c r="E31" s="53">
        <f t="shared" si="5"/>
        <v>51</v>
      </c>
      <c r="F31" s="53">
        <f t="shared" si="5"/>
        <v>52</v>
      </c>
      <c r="G31" s="53">
        <f t="shared" si="5"/>
        <v>52</v>
      </c>
      <c r="H31" s="54"/>
      <c r="I31" s="54"/>
      <c r="J31" s="54"/>
      <c r="K31" s="54"/>
      <c r="L31" s="55"/>
      <c r="M31" s="56">
        <f>G31-B31</f>
        <v>17</v>
      </c>
      <c r="N31" s="57">
        <f>IFERROR((M31/B31),"")</f>
        <v>0.48571428571428571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2">
      <c r="A32" s="58" t="s">
        <v>21</v>
      </c>
      <c r="B32" s="59">
        <v>35</v>
      </c>
      <c r="C32" s="60">
        <v>35</v>
      </c>
      <c r="D32" s="61">
        <v>34</v>
      </c>
      <c r="E32" s="61">
        <v>36</v>
      </c>
      <c r="F32" s="61">
        <v>36</v>
      </c>
      <c r="G32" s="61">
        <v>36</v>
      </c>
      <c r="H32" s="62"/>
      <c r="I32" s="62"/>
      <c r="J32" s="62"/>
      <c r="K32" s="62"/>
      <c r="L32" s="63"/>
      <c r="M32" s="64">
        <f t="shared" ref="M32:M36" si="6">G32-B32</f>
        <v>1</v>
      </c>
      <c r="N32" s="65">
        <f t="shared" ref="N32:N36" si="7">IFERROR((M32/B32),"")</f>
        <v>2.8571428571428571E-2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x14ac:dyDescent="0.2">
      <c r="A33" s="58" t="s">
        <v>22</v>
      </c>
      <c r="C33" s="59">
        <v>7</v>
      </c>
      <c r="D33" s="66">
        <v>11</v>
      </c>
      <c r="E33" s="67">
        <v>15</v>
      </c>
      <c r="F33" s="67">
        <v>16</v>
      </c>
      <c r="G33" s="67">
        <v>16</v>
      </c>
      <c r="H33" s="62"/>
      <c r="I33" s="62"/>
      <c r="J33" s="62"/>
      <c r="K33" s="62"/>
      <c r="L33" s="63"/>
      <c r="M33" s="64">
        <f t="shared" si="6"/>
        <v>16</v>
      </c>
      <c r="N33" s="65">
        <f>IFERROR((M33/C33),"")</f>
        <v>2.2857142857142856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x14ac:dyDescent="0.2">
      <c r="A34" s="58" t="s">
        <v>23</v>
      </c>
      <c r="B34" s="59"/>
      <c r="C34" s="66"/>
      <c r="D34" s="67"/>
      <c r="E34" s="67"/>
      <c r="F34" s="67"/>
      <c r="G34" s="67"/>
      <c r="H34" s="62"/>
      <c r="I34" s="62"/>
      <c r="J34" s="62"/>
      <c r="K34" s="62"/>
      <c r="L34" s="63"/>
      <c r="M34" s="64">
        <f t="shared" si="6"/>
        <v>0</v>
      </c>
      <c r="N34" s="65" t="str">
        <f t="shared" si="7"/>
        <v/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x14ac:dyDescent="0.2">
      <c r="A35" s="58" t="s">
        <v>24</v>
      </c>
      <c r="B35" s="59"/>
      <c r="C35" s="66"/>
      <c r="D35" s="67"/>
      <c r="E35" s="67"/>
      <c r="F35" s="67"/>
      <c r="G35" s="67"/>
      <c r="H35" s="62"/>
      <c r="I35" s="62"/>
      <c r="J35" s="62"/>
      <c r="K35" s="62"/>
      <c r="L35" s="63"/>
      <c r="M35" s="64">
        <f t="shared" si="6"/>
        <v>0</v>
      </c>
      <c r="N35" s="65" t="str">
        <f t="shared" si="7"/>
        <v/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x14ac:dyDescent="0.2">
      <c r="A36" s="68" t="s">
        <v>25</v>
      </c>
      <c r="B36" s="69"/>
      <c r="C36" s="70"/>
      <c r="D36" s="71"/>
      <c r="E36" s="71"/>
      <c r="F36" s="71"/>
      <c r="G36" s="71"/>
      <c r="H36" s="72"/>
      <c r="I36" s="72"/>
      <c r="J36" s="72"/>
      <c r="K36" s="72"/>
      <c r="L36" s="73"/>
      <c r="M36" s="74">
        <f t="shared" si="6"/>
        <v>0</v>
      </c>
      <c r="N36" s="75" t="str">
        <f t="shared" si="7"/>
        <v/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3.5" thickBot="1" x14ac:dyDescent="0.25">
      <c r="A37" s="4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1"/>
      <c r="N37" s="4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21" customHeight="1" thickBot="1" x14ac:dyDescent="0.25">
      <c r="A38" s="175" t="s">
        <v>26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25.5" customHeight="1" x14ac:dyDescent="0.2">
      <c r="A39" s="40"/>
      <c r="B39" s="9" t="s">
        <v>17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172" t="s">
        <v>18</v>
      </c>
      <c r="N39" s="17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2">
      <c r="A40" s="76"/>
      <c r="B40" s="77">
        <v>2023</v>
      </c>
      <c r="C40" s="78">
        <v>2024</v>
      </c>
      <c r="D40" s="79">
        <v>2025</v>
      </c>
      <c r="E40" s="79">
        <v>2026</v>
      </c>
      <c r="F40" s="79">
        <v>2027</v>
      </c>
      <c r="G40" s="79">
        <v>2028</v>
      </c>
      <c r="H40" s="79">
        <v>2029</v>
      </c>
      <c r="I40" s="79">
        <v>2030</v>
      </c>
      <c r="J40" s="79">
        <v>2031</v>
      </c>
      <c r="K40" s="80">
        <v>2032</v>
      </c>
      <c r="L40" s="81">
        <v>2033</v>
      </c>
      <c r="M40" s="82" t="s">
        <v>8</v>
      </c>
      <c r="N40" s="83" t="s">
        <v>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x14ac:dyDescent="0.2">
      <c r="A41" s="84" t="s">
        <v>27</v>
      </c>
      <c r="B41" s="85">
        <f>SUM(B42:B50)</f>
        <v>826</v>
      </c>
      <c r="C41" s="86">
        <f t="shared" ref="C41:L41" si="8">SUM(C42:C50)</f>
        <v>1039</v>
      </c>
      <c r="D41" s="87">
        <f t="shared" si="8"/>
        <v>1052</v>
      </c>
      <c r="E41" s="87">
        <f t="shared" si="8"/>
        <v>1135</v>
      </c>
      <c r="F41" s="87">
        <f t="shared" si="8"/>
        <v>1246</v>
      </c>
      <c r="G41" s="87">
        <f t="shared" si="8"/>
        <v>1362</v>
      </c>
      <c r="H41" s="87">
        <f t="shared" si="8"/>
        <v>1462</v>
      </c>
      <c r="I41" s="87">
        <f t="shared" si="8"/>
        <v>1504</v>
      </c>
      <c r="J41" s="87">
        <f t="shared" si="8"/>
        <v>1527</v>
      </c>
      <c r="K41" s="87">
        <f t="shared" si="8"/>
        <v>1550</v>
      </c>
      <c r="L41" s="88">
        <f t="shared" si="8"/>
        <v>1574</v>
      </c>
      <c r="M41" s="74">
        <f>SUM(M42:M49)</f>
        <v>748</v>
      </c>
      <c r="N41" s="22">
        <f>IFERROR((L41-B41)/ABS(B41),"")</f>
        <v>0.90556900726392253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x14ac:dyDescent="0.2">
      <c r="A42" s="39" t="s">
        <v>28</v>
      </c>
      <c r="B42" s="89">
        <v>378</v>
      </c>
      <c r="C42" s="90">
        <v>444</v>
      </c>
      <c r="D42" s="91">
        <v>510</v>
      </c>
      <c r="E42" s="91">
        <v>550</v>
      </c>
      <c r="F42" s="91">
        <v>604</v>
      </c>
      <c r="G42" s="91">
        <v>660</v>
      </c>
      <c r="H42" s="91">
        <v>709</v>
      </c>
      <c r="I42" s="91">
        <f>H42+(ROUND(H42*0.02,0))</f>
        <v>723</v>
      </c>
      <c r="J42" s="91">
        <f t="shared" ref="J42:L42" si="9">I42+(ROUND(I42*0.02,0))</f>
        <v>737</v>
      </c>
      <c r="K42" s="91">
        <f t="shared" si="9"/>
        <v>752</v>
      </c>
      <c r="L42" s="91">
        <f t="shared" si="9"/>
        <v>767</v>
      </c>
      <c r="M42" s="92">
        <f>L42-B42</f>
        <v>389</v>
      </c>
      <c r="N42" s="22">
        <f>IFERROR((L42-B42)/ABS(B42),"")</f>
        <v>1.0291005291005291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x14ac:dyDescent="0.2">
      <c r="A43" s="39" t="s">
        <v>29</v>
      </c>
      <c r="B43" s="59">
        <v>33</v>
      </c>
      <c r="C43" s="93">
        <v>33</v>
      </c>
      <c r="D43" s="94">
        <v>31</v>
      </c>
      <c r="E43" s="94">
        <v>34</v>
      </c>
      <c r="F43" s="94">
        <v>37</v>
      </c>
      <c r="G43" s="94">
        <v>41</v>
      </c>
      <c r="H43" s="94">
        <v>43</v>
      </c>
      <c r="I43" s="94">
        <v>43</v>
      </c>
      <c r="J43" s="94">
        <v>44</v>
      </c>
      <c r="K43" s="94">
        <v>44</v>
      </c>
      <c r="L43" s="95">
        <v>45</v>
      </c>
      <c r="M43" s="64">
        <f>L43-B43</f>
        <v>12</v>
      </c>
      <c r="N43" s="22">
        <f>IFERROR((L43-B43)/ABS(B43),"")</f>
        <v>0.36363636363636365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">
      <c r="A44" s="39" t="s">
        <v>30</v>
      </c>
      <c r="B44" s="59">
        <v>270</v>
      </c>
      <c r="C44" s="93">
        <v>366</v>
      </c>
      <c r="D44" s="94">
        <v>333</v>
      </c>
      <c r="E44" s="94">
        <v>359</v>
      </c>
      <c r="F44" s="94">
        <v>394</v>
      </c>
      <c r="G44" s="94">
        <v>430</v>
      </c>
      <c r="H44" s="94">
        <v>462</v>
      </c>
      <c r="I44" s="94">
        <f>ROUND(H44+(H44*0.04),0)</f>
        <v>480</v>
      </c>
      <c r="J44" s="94">
        <f>ROUND(I44+(I44*0.01),0)</f>
        <v>485</v>
      </c>
      <c r="K44" s="94">
        <f t="shared" ref="K44:L45" si="10">ROUND(J44+(J44*0.01),0)</f>
        <v>490</v>
      </c>
      <c r="L44" s="94">
        <f t="shared" si="10"/>
        <v>495</v>
      </c>
      <c r="M44" s="64">
        <f t="shared" ref="M44:M49" si="11">L44-B44</f>
        <v>225</v>
      </c>
      <c r="N44" s="22">
        <f>IFERROR((L44-B44)/ABS(B44),"")</f>
        <v>0.83333333333333337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2">
      <c r="A45" s="39" t="s">
        <v>31</v>
      </c>
      <c r="B45" s="69">
        <v>145</v>
      </c>
      <c r="C45" s="96">
        <v>196</v>
      </c>
      <c r="D45" s="97">
        <v>178</v>
      </c>
      <c r="E45" s="97">
        <v>192</v>
      </c>
      <c r="F45" s="97">
        <v>211</v>
      </c>
      <c r="G45" s="97">
        <v>231</v>
      </c>
      <c r="H45" s="97">
        <v>248</v>
      </c>
      <c r="I45" s="94">
        <f>ROUND(H45+(H45*0.04),0)</f>
        <v>258</v>
      </c>
      <c r="J45" s="94">
        <f>ROUND(I45+(I45*0.01),0)</f>
        <v>261</v>
      </c>
      <c r="K45" s="94">
        <f t="shared" si="10"/>
        <v>264</v>
      </c>
      <c r="L45" s="94">
        <f t="shared" si="10"/>
        <v>267</v>
      </c>
      <c r="M45" s="74">
        <f t="shared" si="11"/>
        <v>122</v>
      </c>
      <c r="N45" s="22">
        <f>IFERROR((L45-B45)/ABS(B45),"")</f>
        <v>0.8413793103448276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x14ac:dyDescent="0.2">
      <c r="A46" s="39"/>
      <c r="B46" s="31"/>
      <c r="C46" s="9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9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x14ac:dyDescent="0.2">
      <c r="A47" s="39" t="s">
        <v>32</v>
      </c>
      <c r="B47" s="100"/>
      <c r="C47" s="101"/>
      <c r="D47" s="102"/>
      <c r="E47" s="102"/>
      <c r="F47" s="102"/>
      <c r="G47" s="102"/>
      <c r="H47" s="102"/>
      <c r="I47" s="102"/>
      <c r="J47" s="102"/>
      <c r="K47" s="102"/>
      <c r="L47" s="103"/>
      <c r="M47" s="56">
        <f t="shared" si="11"/>
        <v>0</v>
      </c>
      <c r="N47" s="57" t="str">
        <f t="shared" ref="N47:N49" si="12">IFERROR((M47/B47),"")</f>
        <v/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2">
      <c r="A48" s="39" t="s">
        <v>33</v>
      </c>
      <c r="B48" s="59"/>
      <c r="C48" s="66"/>
      <c r="D48" s="67"/>
      <c r="E48" s="67"/>
      <c r="F48" s="67"/>
      <c r="G48" s="67"/>
      <c r="H48" s="67"/>
      <c r="I48" s="67"/>
      <c r="J48" s="67"/>
      <c r="K48" s="67"/>
      <c r="L48" s="104"/>
      <c r="M48" s="64">
        <f t="shared" si="11"/>
        <v>0</v>
      </c>
      <c r="N48" s="22" t="str">
        <f>IFERROR((L48-B48)/ABS(B48),"")</f>
        <v/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x14ac:dyDescent="0.2">
      <c r="A49" s="84" t="s">
        <v>25</v>
      </c>
      <c r="B49" s="69"/>
      <c r="C49" s="70"/>
      <c r="D49" s="71"/>
      <c r="E49" s="71"/>
      <c r="F49" s="71"/>
      <c r="G49" s="71"/>
      <c r="H49" s="71"/>
      <c r="I49" s="71"/>
      <c r="J49" s="71"/>
      <c r="K49" s="71"/>
      <c r="L49" s="105"/>
      <c r="M49" s="74">
        <f t="shared" si="11"/>
        <v>0</v>
      </c>
      <c r="N49" s="75" t="str">
        <f t="shared" si="12"/>
        <v/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x14ac:dyDescent="0.2">
      <c r="A50" s="4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106"/>
      <c r="N50" s="10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x14ac:dyDescent="0.2">
      <c r="A51" s="178" t="s">
        <v>34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26.25" customHeight="1" x14ac:dyDescent="0.2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2.75" customHeight="1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9.5" hidden="1" customHeight="1" x14ac:dyDescent="0.2">
      <c r="A54" s="175" t="s">
        <v>35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33" hidden="1" customHeight="1" x14ac:dyDescent="0.2">
      <c r="A55" s="179" t="s">
        <v>36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24" hidden="1" customHeight="1" x14ac:dyDescent="0.2">
      <c r="A56" s="40"/>
      <c r="B56" s="9" t="s">
        <v>17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172" t="s">
        <v>37</v>
      </c>
      <c r="N56" s="17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idden="1" x14ac:dyDescent="0.2">
      <c r="A57" s="109"/>
      <c r="B57" s="110">
        <v>2023</v>
      </c>
      <c r="C57" s="42">
        <v>2024</v>
      </c>
      <c r="D57" s="43">
        <v>2025</v>
      </c>
      <c r="E57" s="43">
        <v>2026</v>
      </c>
      <c r="F57" s="43">
        <v>2027</v>
      </c>
      <c r="G57" s="43">
        <v>2028</v>
      </c>
      <c r="H57" s="43">
        <v>2029</v>
      </c>
      <c r="I57" s="43">
        <v>2030</v>
      </c>
      <c r="J57" s="43">
        <v>2031</v>
      </c>
      <c r="K57" s="44">
        <v>2032</v>
      </c>
      <c r="L57" s="44">
        <v>2033</v>
      </c>
      <c r="M57" s="44" t="s">
        <v>8</v>
      </c>
      <c r="N57" s="111" t="s">
        <v>9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idden="1" x14ac:dyDescent="0.2">
      <c r="A58" s="112" t="s">
        <v>38</v>
      </c>
      <c r="B58" s="113"/>
      <c r="C58" s="31"/>
      <c r="D58" s="114"/>
      <c r="E58" s="114"/>
      <c r="F58" s="114"/>
      <c r="G58" s="114"/>
      <c r="H58" s="114"/>
      <c r="I58" s="114"/>
      <c r="J58" s="114"/>
      <c r="K58" s="114"/>
      <c r="L58" s="114"/>
      <c r="M58" s="115">
        <f>L58-B58</f>
        <v>0</v>
      </c>
      <c r="N58" s="116" t="str">
        <f>IFERROR((M58/B58),"")</f>
        <v/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idden="1" x14ac:dyDescent="0.2">
      <c r="A59" s="117" t="s">
        <v>39</v>
      </c>
      <c r="B59" s="118"/>
      <c r="C59" s="119"/>
      <c r="D59" s="67"/>
      <c r="E59" s="67"/>
      <c r="F59" s="67"/>
      <c r="G59" s="67"/>
      <c r="H59" s="67"/>
      <c r="I59" s="67"/>
      <c r="J59" s="67"/>
      <c r="K59" s="67"/>
      <c r="L59" s="67"/>
      <c r="M59" s="120">
        <f>L59-B59</f>
        <v>0</v>
      </c>
      <c r="N59" s="12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idden="1" x14ac:dyDescent="0.2">
      <c r="A60" s="112" t="s">
        <v>40</v>
      </c>
      <c r="B60" s="118"/>
      <c r="C60" s="119"/>
      <c r="D60" s="67"/>
      <c r="E60" s="67"/>
      <c r="F60" s="67"/>
      <c r="G60" s="67"/>
      <c r="H60" s="67"/>
      <c r="I60" s="67"/>
      <c r="J60" s="67"/>
      <c r="K60" s="67"/>
      <c r="L60" s="67"/>
      <c r="M60" s="120">
        <f>L60-B60</f>
        <v>0</v>
      </c>
      <c r="N60" s="12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idden="1" x14ac:dyDescent="0.2">
      <c r="A61" s="122" t="s">
        <v>41</v>
      </c>
      <c r="B61" s="123"/>
      <c r="C61" s="70"/>
      <c r="D61" s="70"/>
      <c r="E61" s="71"/>
      <c r="F61" s="71"/>
      <c r="G61" s="71"/>
      <c r="H61" s="71"/>
      <c r="I61" s="71"/>
      <c r="J61" s="71"/>
      <c r="K61" s="71"/>
      <c r="L61" s="71"/>
      <c r="M61" s="87">
        <f>L61-B61</f>
        <v>0</v>
      </c>
      <c r="N61" s="124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idden="1" x14ac:dyDescent="0.2">
      <c r="A62" s="40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1"/>
      <c r="N62" s="49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2">
      <c r="A63" s="40"/>
      <c r="B63" s="12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2">
      <c r="D64" s="125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x14ac:dyDescent="0.2">
      <c r="A65" s="1" t="s">
        <v>42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2">
      <c r="A66" s="1" t="s">
        <v>43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2">
      <c r="A67" s="1" t="s">
        <v>44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2">
      <c r="A68" s="1" t="s">
        <v>45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2">
      <c r="A69" s="1" t="s">
        <v>46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2.75" customHeight="1" x14ac:dyDescent="0.2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2.75" customHeight="1" x14ac:dyDescent="0.2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2.75" customHeight="1" x14ac:dyDescent="0.2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2.75" customHeight="1" x14ac:dyDescent="0.2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2.75" customHeight="1" x14ac:dyDescent="0.2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2.75" customHeight="1" x14ac:dyDescent="0.2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2.75" customHeight="1" x14ac:dyDescent="0.2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2.75" customHeight="1" x14ac:dyDescent="0.2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2.75" customHeight="1" x14ac:dyDescent="0.2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2.75" customHeight="1" x14ac:dyDescent="0.2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2.75" customHeight="1" x14ac:dyDescent="0.2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21:54" ht="12.75" customHeight="1" x14ac:dyDescent="0.2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21:54" ht="12.75" customHeight="1" x14ac:dyDescent="0.2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21:54" ht="12.75" customHeight="1" x14ac:dyDescent="0.2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21:54" ht="12.75" customHeight="1" x14ac:dyDescent="0.2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21:54" ht="12.75" customHeight="1" x14ac:dyDescent="0.2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21:54" ht="12.75" customHeight="1" x14ac:dyDescent="0.2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21:54" ht="12.75" customHeight="1" x14ac:dyDescent="0.2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21:54" ht="12.75" customHeight="1" x14ac:dyDescent="0.2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21:54" ht="12.75" customHeight="1" x14ac:dyDescent="0.2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21:54" ht="12.75" customHeight="1" x14ac:dyDescent="0.2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21:54" ht="12.75" customHeight="1" x14ac:dyDescent="0.2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21:54" ht="12.75" customHeight="1" x14ac:dyDescent="0.2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21:54" ht="12.75" customHeight="1" x14ac:dyDescent="0.2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21:54" ht="12.75" customHeight="1" x14ac:dyDescent="0.2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21:54" ht="12.75" customHeight="1" x14ac:dyDescent="0.2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21:54" ht="12.75" customHeight="1" x14ac:dyDescent="0.2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21:54" ht="12.75" customHeight="1" x14ac:dyDescent="0.2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21:54" ht="12.75" customHeight="1" x14ac:dyDescent="0.2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21:54" ht="12.75" customHeight="1" x14ac:dyDescent="0.2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1:54" ht="12.75" customHeight="1" x14ac:dyDescent="0.2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1:54" ht="12.75" customHeight="1" x14ac:dyDescent="0.2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1:54" ht="12.75" customHeight="1" x14ac:dyDescent="0.2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1:54" ht="12.75" customHeight="1" x14ac:dyDescent="0.2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1:54" ht="12.75" customHeight="1" x14ac:dyDescent="0.2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1:54" ht="12.75" customHeight="1" x14ac:dyDescent="0.2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1:54" ht="12.75" customHeight="1" x14ac:dyDescent="0.2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1:54" ht="12.75" customHeight="1" x14ac:dyDescent="0.2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1:54" ht="12.75" customHeight="1" x14ac:dyDescent="0.2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1:54" ht="12.75" customHeight="1" x14ac:dyDescent="0.2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1:54" ht="12.75" customHeight="1" x14ac:dyDescent="0.2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1:54" ht="12.75" customHeight="1" x14ac:dyDescent="0.2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1:54" ht="12.75" customHeight="1" x14ac:dyDescent="0.2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1:54" ht="12.75" customHeight="1" x14ac:dyDescent="0.2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1:54" ht="12.75" customHeight="1" x14ac:dyDescent="0.2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1:54" ht="12.75" customHeight="1" x14ac:dyDescent="0.2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1:54" ht="12.75" customHeight="1" x14ac:dyDescent="0.2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1:54" ht="12.75" customHeight="1" x14ac:dyDescent="0.2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1:54" ht="12.75" customHeight="1" x14ac:dyDescent="0.2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1:54" ht="12.75" customHeight="1" x14ac:dyDescent="0.2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1:54" ht="12.75" customHeight="1" x14ac:dyDescent="0.2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1:54" ht="12.75" customHeight="1" x14ac:dyDescent="0.2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1:54" ht="12.75" customHeight="1" x14ac:dyDescent="0.2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1:54" ht="12.75" customHeight="1" x14ac:dyDescent="0.2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1:54" ht="12.75" customHeight="1" x14ac:dyDescent="0.2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1:54" ht="12.75" customHeight="1" x14ac:dyDescent="0.2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1:54" ht="12.75" customHeight="1" x14ac:dyDescent="0.2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1:54" ht="12.75" customHeight="1" x14ac:dyDescent="0.2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1:54" ht="12.75" customHeight="1" x14ac:dyDescent="0.2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1:54" ht="12.75" customHeight="1" x14ac:dyDescent="0.2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1:54" ht="12.75" customHeight="1" x14ac:dyDescent="0.2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1:54" ht="12.75" customHeight="1" x14ac:dyDescent="0.2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1:54" ht="12.75" customHeight="1" x14ac:dyDescent="0.2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1:54" ht="12.75" customHeight="1" x14ac:dyDescent="0.2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21:54" ht="12.75" customHeight="1" x14ac:dyDescent="0.2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21:54" ht="12.75" customHeight="1" x14ac:dyDescent="0.2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21:54" ht="12.75" customHeight="1" x14ac:dyDescent="0.2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21:54" ht="12.75" customHeight="1" x14ac:dyDescent="0.2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21:54" ht="12.75" customHeight="1" x14ac:dyDescent="0.2">
      <c r="U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21:54" ht="12.75" customHeight="1" x14ac:dyDescent="0.2"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21:54" ht="12.75" customHeight="1" x14ac:dyDescent="0.2"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21:54" ht="12.75" customHeight="1" x14ac:dyDescent="0.2"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048576" spans="16380:16380" x14ac:dyDescent="0.2">
      <c r="XEZ1048576" s="125" t="s">
        <v>47</v>
      </c>
    </row>
  </sheetData>
  <sheetProtection formatCells="0" formatColumns="0" formatRows="0" insertColumns="0" insertRows="0" deleteColumns="0" deleteRows="0"/>
  <protectedRanges>
    <protectedRange sqref="B47:L49" name="OTHER_STUDENTS"/>
    <protectedRange sqref="B42:L45" name="NEW_STUDENTS"/>
    <protectedRange sqref="C33:G33 B32:G32 B34:G36" name="RHEC"/>
    <protectedRange sqref="B13:L13" name="UG_FT"/>
    <protectedRange sqref="B15:L15" name="UG_PT"/>
    <protectedRange sqref="B20" name="G_FT"/>
    <protectedRange sqref="B22:L22" name="G_PT"/>
    <protectedRange sqref="B29 C24:L24 C20:L20" name="FTDE"/>
    <protectedRange sqref="C29:L29" name="FTE"/>
  </protectedRanges>
  <mergeCells count="23">
    <mergeCell ref="M56:N56"/>
    <mergeCell ref="A1:N1"/>
    <mergeCell ref="A6:N6"/>
    <mergeCell ref="M7:N7"/>
    <mergeCell ref="A26:N26"/>
    <mergeCell ref="M27:N27"/>
    <mergeCell ref="A28:A29"/>
    <mergeCell ref="A38:N38"/>
    <mergeCell ref="M39:N39"/>
    <mergeCell ref="A51:N52"/>
    <mergeCell ref="A54:N54"/>
    <mergeCell ref="A55:N55"/>
    <mergeCell ref="P11:P13"/>
    <mergeCell ref="Q11:Q13"/>
    <mergeCell ref="R11:R13"/>
    <mergeCell ref="S11:S13"/>
    <mergeCell ref="U11:U13"/>
    <mergeCell ref="Z11:Z13"/>
    <mergeCell ref="AA11:AA13"/>
    <mergeCell ref="V11:V13"/>
    <mergeCell ref="Y11:Y13"/>
    <mergeCell ref="X11:X13"/>
    <mergeCell ref="W11:W13"/>
  </mergeCells>
  <printOptions horizontalCentered="1"/>
  <pageMargins left="0.25" right="0.25" top="0.75" bottom="0.75" header="0.3" footer="0.3"/>
  <pageSetup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C41085DDC7148BBB8B823C685CE22" ma:contentTypeVersion="6" ma:contentTypeDescription="Create a new document." ma:contentTypeScope="" ma:versionID="74eda07fd5e72fe7acc0928550b7d82e">
  <xsd:schema xmlns:xsd="http://www.w3.org/2001/XMLSchema" xmlns:xs="http://www.w3.org/2001/XMLSchema" xmlns:p="http://schemas.microsoft.com/office/2006/metadata/properties" xmlns:ns2="7b237822-43a8-4f01-b411-0336b08e8c66" xmlns:ns3="82638b23-5259-465e-8caa-71f8122772d8" targetNamespace="http://schemas.microsoft.com/office/2006/metadata/properties" ma:root="true" ma:fieldsID="d8936a69292ab4860653cb390a938dbd" ns2:_="" ns3:_="">
    <xsd:import namespace="7b237822-43a8-4f01-b411-0336b08e8c66"/>
    <xsd:import namespace="82638b23-5259-465e-8caa-71f812277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37822-43a8-4f01-b411-0336b08e8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38b23-5259-465e-8caa-71f812277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059D1-20EC-4286-B7C7-8A83EE5C6F52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82638b23-5259-465e-8caa-71f8122772d8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7b237822-43a8-4f01-b411-0336b08e8c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AFD027-E7F7-46ED-BCB9-CE7AE87D2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8345F-08A9-4009-8817-1D43B76DA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37822-43a8-4f01-b411-0336b08e8c66"/>
    <ds:schemaRef ds:uri="82638b23-5259-465e-8caa-71f812277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Kauffman</dc:creator>
  <cp:keywords/>
  <dc:description/>
  <cp:lastModifiedBy>Alicia Campbell</cp:lastModifiedBy>
  <cp:revision/>
  <dcterms:created xsi:type="dcterms:W3CDTF">2024-02-09T19:21:45Z</dcterms:created>
  <dcterms:modified xsi:type="dcterms:W3CDTF">2024-11-05T15:10:35Z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0x010100ABEC41085DDC7148BBB8B823C685CE22</vt:lpwstr>
  </property>
</Properties>
</file>